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715" windowHeight="873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F24" i="1"/>
  <c r="F25"/>
  <c r="J18"/>
  <c r="J17"/>
  <c r="C41"/>
  <c r="C34"/>
  <c r="C28"/>
  <c r="C22"/>
  <c r="C16"/>
  <c r="C10"/>
  <c r="C9"/>
  <c r="L52"/>
  <c r="G12"/>
  <c r="G14" s="1"/>
  <c r="G13" s="1"/>
  <c r="E40"/>
  <c r="G15" l="1"/>
  <c r="G11"/>
  <c r="G18" l="1"/>
  <c r="I15"/>
  <c r="G20" s="1"/>
  <c r="I16"/>
  <c r="J16" s="1"/>
  <c r="G19"/>
  <c r="J15" l="1"/>
  <c r="G21"/>
  <c r="G17"/>
  <c r="G16"/>
</calcChain>
</file>

<file path=xl/comments1.xml><?xml version="1.0" encoding="utf-8"?>
<comments xmlns="http://schemas.openxmlformats.org/spreadsheetml/2006/main">
  <authors>
    <author>Thorsten</author>
  </authors>
  <commentList>
    <comment ref="C3" authorId="0">
      <text>
        <r>
          <rPr>
            <sz val="9"/>
            <color indexed="81"/>
            <rFont val="Tahoma"/>
            <family val="2"/>
          </rPr>
          <t>1 bar = 100.000 Pa (Pascal)</t>
        </r>
      </text>
    </comment>
    <comment ref="C26" authorId="0">
      <text>
        <r>
          <rPr>
            <sz val="9"/>
            <color indexed="81"/>
            <rFont val="Tahoma"/>
            <family val="2"/>
          </rPr>
          <t>1 bar = 100.000 Pa (Pascal)</t>
        </r>
      </text>
    </comment>
    <comment ref="L37" authorId="0">
      <text>
        <r>
          <rPr>
            <sz val="9"/>
            <color indexed="81"/>
            <rFont val="Tahoma"/>
            <family val="2"/>
          </rPr>
          <t>1 bar = 100.000 Pa (Pascal)</t>
        </r>
      </text>
    </comment>
  </commentList>
</comments>
</file>

<file path=xl/sharedStrings.xml><?xml version="1.0" encoding="utf-8"?>
<sst xmlns="http://schemas.openxmlformats.org/spreadsheetml/2006/main" count="105" uniqueCount="66">
  <si>
    <t>Kelvin/Meter</t>
  </si>
  <si>
    <t>Pascal</t>
  </si>
  <si>
    <t>°C</t>
  </si>
  <si>
    <t>Meter</t>
  </si>
  <si>
    <t>Luftdruck bei Vernachlässigung von °C:</t>
  </si>
  <si>
    <t xml:space="preserve">Kelvin </t>
  </si>
  <si>
    <r>
      <t xml:space="preserve">Höhe </t>
    </r>
    <r>
      <rPr>
        <b/>
        <i/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:</t>
    </r>
  </si>
  <si>
    <r>
      <t xml:space="preserve">Temperatur in der Höhe </t>
    </r>
    <r>
      <rPr>
        <b/>
        <i/>
        <sz val="11"/>
        <color theme="1"/>
        <rFont val="Calibri"/>
        <family val="2"/>
        <scheme val="minor"/>
      </rPr>
      <t>T</t>
    </r>
    <r>
      <rPr>
        <b/>
        <i/>
        <vertAlign val="subscript"/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:</t>
    </r>
  </si>
  <si>
    <t>Liter</t>
  </si>
  <si>
    <t>Normliter</t>
  </si>
  <si>
    <r>
      <t xml:space="preserve">Liter gemessen 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:</t>
    </r>
  </si>
  <si>
    <r>
      <t xml:space="preserve">Temperatur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:</t>
    </r>
  </si>
  <si>
    <r>
      <t xml:space="preserve">Normliter </t>
    </r>
    <r>
      <rPr>
        <b/>
        <i/>
        <sz val="11"/>
        <color theme="1"/>
        <rFont val="Calibri"/>
        <family val="2"/>
        <scheme val="minor"/>
      </rPr>
      <t>V</t>
    </r>
    <r>
      <rPr>
        <b/>
        <i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:</t>
    </r>
  </si>
  <si>
    <t>Volumen V bei Temperatur T:</t>
  </si>
  <si>
    <r>
      <t>Normliter V</t>
    </r>
    <r>
      <rPr>
        <b/>
        <i/>
        <vertAlign val="subscript"/>
        <sz val="11"/>
        <color theme="1"/>
        <rFont val="Calibri"/>
        <family val="2"/>
        <scheme val="minor"/>
      </rPr>
      <t>n</t>
    </r>
    <r>
      <rPr>
        <b/>
        <i/>
        <sz val="11"/>
        <color theme="1"/>
        <rFont val="Calibri"/>
        <family val="2"/>
        <scheme val="minor"/>
      </rPr>
      <t>:</t>
    </r>
  </si>
  <si>
    <r>
      <t>Luftdruck in Höhe p</t>
    </r>
    <r>
      <rPr>
        <b/>
        <i/>
        <vertAlign val="subscript"/>
        <sz val="11"/>
        <color theme="1"/>
        <rFont val="Calibri"/>
        <family val="2"/>
        <scheme val="minor"/>
      </rPr>
      <t>h</t>
    </r>
    <r>
      <rPr>
        <b/>
        <i/>
        <sz val="11"/>
        <color theme="1"/>
        <rFont val="Calibri"/>
        <family val="2"/>
        <scheme val="minor"/>
      </rPr>
      <t>:</t>
    </r>
  </si>
  <si>
    <t>Umrechnen von Volumen bei Temperatur x auf Normvolumen</t>
  </si>
  <si>
    <t>Umrechnen von Normvolumen auf Volumen bei Temperatur x</t>
  </si>
  <si>
    <t>Barometrische Höhenformel</t>
  </si>
  <si>
    <t>Umrechnen von Volumen bei Druck x auf Volumen bei Normdruck</t>
  </si>
  <si>
    <t>Volumen bei Normdruck (1,01bar):</t>
  </si>
  <si>
    <t>Umrechnen von Volumen bei Normdruck auf Volumen bei Druck x</t>
  </si>
  <si>
    <t>Volumen bei Druck p:</t>
  </si>
  <si>
    <t>Gemessenes Volumen:</t>
  </si>
  <si>
    <t>Ampere:</t>
  </si>
  <si>
    <t>Messzeit für das Volumen:</t>
  </si>
  <si>
    <t>A</t>
  </si>
  <si>
    <t>V</t>
  </si>
  <si>
    <t>Sekunden</t>
  </si>
  <si>
    <t>kWh/Nm³</t>
  </si>
  <si>
    <t>Tatsächlich aufgewendete Watt/lpm</t>
  </si>
  <si>
    <t>Relative Gasfeuchte:</t>
  </si>
  <si>
    <t>%</t>
  </si>
  <si>
    <t>Feuchtes Gasvolumen auf tockenes Volumen umrechnen</t>
  </si>
  <si>
    <t>Feuchtes Volumen:</t>
  </si>
  <si>
    <t>Gastemperatur:</t>
  </si>
  <si>
    <t>Gasdruck:</t>
  </si>
  <si>
    <t>Relative Feuchte:</t>
  </si>
  <si>
    <t>Trockenes Volumen:</t>
  </si>
  <si>
    <r>
      <t xml:space="preserve">Kelvin </t>
    </r>
    <r>
      <rPr>
        <i/>
        <sz val="9"/>
        <color theme="1"/>
        <rFont val="Calibri"/>
        <family val="2"/>
        <scheme val="minor"/>
      </rPr>
      <t>(0°C)</t>
    </r>
  </si>
  <si>
    <r>
      <t xml:space="preserve">Volumen 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:</t>
    </r>
  </si>
  <si>
    <r>
      <t xml:space="preserve">Druck 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:</t>
    </r>
  </si>
  <si>
    <r>
      <t xml:space="preserve">Gemessene Gastemperatur 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:</t>
    </r>
  </si>
  <si>
    <r>
      <t xml:space="preserve">Umgebungsdruck 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:</t>
    </r>
  </si>
  <si>
    <t>Bei der Industriellen alkalischen Elektrolyse (atm. Systeme) liegt</t>
  </si>
  <si>
    <r>
      <t>der spezifische Energieverbrauch bei 4,3-4,6kWh/Nm³ H</t>
    </r>
    <r>
      <rPr>
        <i/>
        <vertAlign val="subscript"/>
        <sz val="8"/>
        <color theme="1"/>
        <rFont val="Calibri"/>
        <family val="2"/>
        <scheme val="minor"/>
      </rPr>
      <t>2</t>
    </r>
  </si>
  <si>
    <r>
      <t>Wasserstoff H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:</t>
    </r>
  </si>
  <si>
    <t>Temperaturgradiant a:</t>
  </si>
  <si>
    <r>
      <t>Temperaturkorrektur h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:</t>
    </r>
  </si>
  <si>
    <r>
      <t>Temperatur T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:</t>
    </r>
  </si>
  <si>
    <r>
      <t>Normtemperatur T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:</t>
    </r>
  </si>
  <si>
    <r>
      <t>Normdruck p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:</t>
    </r>
  </si>
  <si>
    <r>
      <t>Volumen H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O:</t>
    </r>
  </si>
  <si>
    <r>
      <t>Partialdruck H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O:</t>
    </r>
  </si>
  <si>
    <r>
      <t>Volumen H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+O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:</t>
    </r>
  </si>
  <si>
    <r>
      <t>Partialdruck H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+O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:</t>
    </r>
  </si>
  <si>
    <r>
      <t>ohne Berücksichtigung von T, p, H</t>
    </r>
    <r>
      <rPr>
        <i/>
        <vertAlign val="subscript"/>
        <sz val="9"/>
        <color rgb="FFC00000"/>
        <rFont val="Calibri"/>
        <family val="2"/>
        <scheme val="minor"/>
      </rPr>
      <t>2</t>
    </r>
    <r>
      <rPr>
        <i/>
        <sz val="9"/>
        <color rgb="FFC00000"/>
        <rFont val="Calibri"/>
        <family val="2"/>
        <scheme val="minor"/>
      </rPr>
      <t>O:</t>
    </r>
  </si>
  <si>
    <r>
      <t xml:space="preserve">Luftdruck auf Meereshöhe bei 15°C </t>
    </r>
    <r>
      <rPr>
        <b/>
        <i/>
        <sz val="11"/>
        <color theme="1"/>
        <rFont val="Calibri"/>
        <family val="2"/>
        <scheme val="minor"/>
      </rPr>
      <t>p</t>
    </r>
    <r>
      <rPr>
        <b/>
        <i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:</t>
    </r>
  </si>
  <si>
    <t>Oxyhydrogen:</t>
  </si>
  <si>
    <t>Dieses Material steht unter der Creative-Commons-Lizenz Namensnennung - Nicht-kommerziell - Weitergabe unter gleichen Bedingungen 4.0 International. Um eine Kopie dieser Lizenz zu sehen, besuchen Sie http://creativecommons.org/licenses/by-nc-sa/4.0/.</t>
  </si>
  <si>
    <t>Energetischer Wirkungsgrad:</t>
  </si>
  <si>
    <t>Faradaysche Wirkungsgrad:</t>
  </si>
  <si>
    <r>
      <t>Normvolumen** H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+O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:</t>
    </r>
  </si>
  <si>
    <t>Anzahl Elektroden:</t>
  </si>
  <si>
    <t>Volt*:</t>
  </si>
  <si>
    <t>Watt/Nlpm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</si>
</sst>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i/>
      <vertAlign val="subscript"/>
      <sz val="8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  <font>
      <i/>
      <vertAlign val="subscript"/>
      <sz val="9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hidden="1"/>
    </xf>
    <xf numFmtId="0" fontId="1" fillId="2" borderId="12" xfId="0" applyFont="1" applyFill="1" applyBorder="1" applyAlignment="1" applyProtection="1">
      <alignment horizontal="right"/>
      <protection hidden="1"/>
    </xf>
    <xf numFmtId="3" fontId="0" fillId="6" borderId="13" xfId="0" applyNumberFormat="1" applyFill="1" applyBorder="1" applyProtection="1">
      <protection locked="0" hidden="1"/>
    </xf>
    <xf numFmtId="0" fontId="1" fillId="2" borderId="8" xfId="0" applyFont="1" applyFill="1" applyBorder="1" applyProtection="1">
      <protection hidden="1"/>
    </xf>
    <xf numFmtId="0" fontId="0" fillId="0" borderId="13" xfId="0" applyBorder="1" applyProtection="1">
      <protection locked="0" hidden="1"/>
    </xf>
    <xf numFmtId="2" fontId="0" fillId="0" borderId="0" xfId="0" quotePrefix="1" applyNumberFormat="1" applyProtection="1"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64" fontId="2" fillId="2" borderId="0" xfId="0" applyNumberFormat="1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1" fillId="2" borderId="9" xfId="0" applyFont="1" applyFill="1" applyBorder="1" applyAlignment="1" applyProtection="1">
      <alignment horizontal="right"/>
      <protection hidden="1"/>
    </xf>
    <xf numFmtId="0" fontId="0" fillId="0" borderId="2" xfId="0" applyBorder="1" applyProtection="1">
      <protection locked="0" hidden="1"/>
    </xf>
    <xf numFmtId="165" fontId="2" fillId="2" borderId="0" xfId="0" applyNumberFormat="1" applyFont="1" applyFill="1" applyBorder="1" applyProtection="1">
      <protection hidden="1"/>
    </xf>
    <xf numFmtId="166" fontId="0" fillId="0" borderId="2" xfId="0" applyNumberFormat="1" applyBorder="1" applyProtection="1">
      <protection locked="0" hidden="1"/>
    </xf>
    <xf numFmtId="2" fontId="2" fillId="2" borderId="0" xfId="0" applyNumberFormat="1" applyFont="1" applyFill="1" applyBorder="1" applyProtection="1">
      <protection hidden="1"/>
    </xf>
    <xf numFmtId="1" fontId="0" fillId="0" borderId="0" xfId="0" applyNumberFormat="1" applyProtection="1">
      <protection hidden="1"/>
    </xf>
    <xf numFmtId="3" fontId="0" fillId="0" borderId="2" xfId="0" applyNumberFormat="1" applyFont="1" applyBorder="1" applyProtection="1">
      <protection locked="0"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165" fontId="0" fillId="0" borderId="2" xfId="0" applyNumberFormat="1" applyBorder="1" applyAlignment="1" applyProtection="1">
      <alignment vertical="center"/>
      <protection locked="0" hidden="1"/>
    </xf>
    <xf numFmtId="0" fontId="1" fillId="2" borderId="10" xfId="0" applyFont="1" applyFill="1" applyBorder="1" applyAlignment="1" applyProtection="1">
      <alignment horizontal="right"/>
      <protection hidden="1"/>
    </xf>
    <xf numFmtId="165" fontId="0" fillId="0" borderId="4" xfId="0" applyNumberFormat="1" applyFont="1" applyBorder="1" applyProtection="1">
      <protection locked="0" hidden="1"/>
    </xf>
    <xf numFmtId="0" fontId="1" fillId="2" borderId="17" xfId="0" applyFont="1" applyFill="1" applyBorder="1" applyAlignment="1" applyProtection="1">
      <alignment horizontal="right"/>
      <protection hidden="1"/>
    </xf>
    <xf numFmtId="0" fontId="0" fillId="0" borderId="18" xfId="0" applyFill="1" applyBorder="1" applyAlignment="1" applyProtection="1">
      <alignment vertical="center"/>
      <protection locked="0" hidden="1"/>
    </xf>
    <xf numFmtId="0" fontId="4" fillId="3" borderId="3" xfId="0" applyFont="1" applyFill="1" applyBorder="1" applyAlignment="1" applyProtection="1">
      <alignment horizontal="right"/>
      <protection hidden="1"/>
    </xf>
    <xf numFmtId="3" fontId="4" fillId="3" borderId="3" xfId="0" applyNumberFormat="1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1" fillId="2" borderId="9" xfId="0" applyFont="1" applyFill="1" applyBorder="1" applyAlignment="1" applyProtection="1">
      <alignment horizontal="right" vertical="top"/>
      <protection hidden="1"/>
    </xf>
    <xf numFmtId="3" fontId="0" fillId="0" borderId="2" xfId="0" applyNumberFormat="1" applyBorder="1" applyAlignment="1" applyProtection="1">
      <alignment vertical="top"/>
      <protection locked="0" hidden="1"/>
    </xf>
    <xf numFmtId="0" fontId="4" fillId="4" borderId="1" xfId="0" applyFont="1" applyFill="1" applyBorder="1" applyAlignment="1" applyProtection="1">
      <alignment horizontal="right"/>
      <protection hidden="1"/>
    </xf>
    <xf numFmtId="3" fontId="4" fillId="4" borderId="1" xfId="0" applyNumberFormat="1" applyFont="1" applyFill="1" applyBorder="1" applyProtection="1">
      <protection hidden="1"/>
    </xf>
    <xf numFmtId="0" fontId="4" fillId="2" borderId="11" xfId="0" applyFont="1" applyFill="1" applyBorder="1" applyProtection="1">
      <protection hidden="1"/>
    </xf>
    <xf numFmtId="166" fontId="2" fillId="2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2" fontId="0" fillId="0" borderId="0" xfId="0" applyNumberFormat="1" applyFill="1" applyBorder="1" applyProtection="1">
      <protection hidden="1"/>
    </xf>
    <xf numFmtId="3" fontId="2" fillId="2" borderId="0" xfId="0" applyNumberFormat="1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right" vertical="top"/>
      <protection hidden="1"/>
    </xf>
    <xf numFmtId="166" fontId="0" fillId="0" borderId="13" xfId="0" applyNumberFormat="1" applyFont="1" applyBorder="1" applyAlignment="1" applyProtection="1">
      <alignment vertical="center"/>
      <protection locked="0" hidden="1"/>
    </xf>
    <xf numFmtId="165" fontId="0" fillId="0" borderId="2" xfId="0" applyNumberFormat="1" applyFont="1" applyBorder="1" applyAlignment="1" applyProtection="1">
      <alignment vertical="top"/>
      <protection locked="0" hidden="1"/>
    </xf>
    <xf numFmtId="0" fontId="4" fillId="3" borderId="14" xfId="0" applyFont="1" applyFill="1" applyBorder="1" applyAlignment="1" applyProtection="1">
      <alignment horizontal="right"/>
      <protection hidden="1"/>
    </xf>
    <xf numFmtId="166" fontId="4" fillId="3" borderId="3" xfId="0" applyNumberFormat="1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vertical="top"/>
      <protection hidden="1"/>
    </xf>
    <xf numFmtId="0" fontId="12" fillId="3" borderId="3" xfId="0" applyFont="1" applyFill="1" applyBorder="1" applyAlignment="1" applyProtection="1">
      <alignment horizontal="right"/>
      <protection hidden="1"/>
    </xf>
    <xf numFmtId="2" fontId="12" fillId="3" borderId="3" xfId="0" applyNumberFormat="1" applyFont="1" applyFill="1" applyBorder="1" applyProtection="1">
      <protection hidden="1"/>
    </xf>
    <xf numFmtId="0" fontId="12" fillId="2" borderId="8" xfId="0" applyFont="1" applyFill="1" applyBorder="1" applyProtection="1">
      <protection hidden="1"/>
    </xf>
    <xf numFmtId="166" fontId="4" fillId="3" borderId="3" xfId="0" applyNumberFormat="1" applyFont="1" applyFill="1" applyBorder="1" applyProtection="1">
      <protection hidden="1"/>
    </xf>
    <xf numFmtId="0" fontId="16" fillId="2" borderId="7" xfId="0" applyFont="1" applyFill="1" applyBorder="1" applyAlignment="1" applyProtection="1">
      <alignment horizontal="right" vertical="center"/>
      <protection hidden="1"/>
    </xf>
    <xf numFmtId="2" fontId="15" fillId="2" borderId="0" xfId="0" applyNumberFormat="1" applyFont="1" applyFill="1" applyBorder="1" applyProtection="1">
      <protection hidden="1"/>
    </xf>
    <xf numFmtId="0" fontId="15" fillId="2" borderId="8" xfId="0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2" fontId="4" fillId="3" borderId="3" xfId="0" quotePrefix="1" applyNumberFormat="1" applyFont="1" applyFill="1" applyBorder="1" applyAlignment="1" applyProtection="1">
      <alignment vertical="top"/>
      <protection hidden="1"/>
    </xf>
    <xf numFmtId="2" fontId="4" fillId="3" borderId="3" xfId="0" quotePrefix="1" applyNumberFormat="1" applyFont="1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6" fontId="0" fillId="0" borderId="13" xfId="0" applyNumberFormat="1" applyFont="1" applyBorder="1" applyProtection="1">
      <protection locked="0" hidden="1"/>
    </xf>
    <xf numFmtId="165" fontId="0" fillId="0" borderId="2" xfId="0" applyNumberFormat="1" applyFont="1" applyBorder="1" applyAlignment="1" applyProtection="1">
      <alignment vertical="center"/>
      <protection locked="0"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1" fillId="6" borderId="0" xfId="0" applyFont="1" applyFill="1" applyBorder="1" applyProtection="1">
      <protection hidden="1"/>
    </xf>
    <xf numFmtId="166" fontId="0" fillId="6" borderId="0" xfId="0" applyNumberFormat="1" applyFill="1" applyBorder="1" applyProtection="1">
      <protection hidden="1"/>
    </xf>
    <xf numFmtId="166" fontId="0" fillId="0" borderId="2" xfId="0" applyNumberFormat="1" applyFont="1" applyBorder="1" applyProtection="1">
      <protection locked="0" hidden="1"/>
    </xf>
    <xf numFmtId="165" fontId="0" fillId="0" borderId="2" xfId="0" applyNumberFormat="1" applyFont="1" applyBorder="1" applyProtection="1">
      <protection locked="0" hidden="1"/>
    </xf>
    <xf numFmtId="0" fontId="9" fillId="0" borderId="0" xfId="0" applyFont="1" applyProtection="1">
      <protection hidden="1"/>
    </xf>
    <xf numFmtId="1" fontId="0" fillId="0" borderId="4" xfId="0" applyNumberFormat="1" applyFont="1" applyBorder="1" applyProtection="1">
      <protection locked="0" hidden="1"/>
    </xf>
    <xf numFmtId="0" fontId="1" fillId="6" borderId="0" xfId="0" applyFont="1" applyFill="1" applyBorder="1" applyAlignment="1" applyProtection="1">
      <alignment horizontal="right"/>
      <protection hidden="1"/>
    </xf>
    <xf numFmtId="2" fontId="1" fillId="6" borderId="0" xfId="0" applyNumberFormat="1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2" fontId="7" fillId="6" borderId="0" xfId="0" applyNumberFormat="1" applyFont="1" applyFill="1" applyBorder="1" applyProtection="1">
      <protection hidden="1"/>
    </xf>
    <xf numFmtId="0" fontId="7" fillId="6" borderId="0" xfId="0" applyFont="1" applyFill="1" applyBorder="1" applyProtection="1">
      <protection hidden="1"/>
    </xf>
    <xf numFmtId="2" fontId="1" fillId="6" borderId="0" xfId="0" quotePrefix="1" applyNumberFormat="1" applyFont="1" applyFill="1" applyBorder="1" applyProtection="1">
      <protection hidden="1"/>
    </xf>
    <xf numFmtId="0" fontId="8" fillId="5" borderId="14" xfId="0" applyFont="1" applyFill="1" applyBorder="1" applyAlignment="1" applyProtection="1">
      <alignment horizontal="center"/>
      <protection hidden="1"/>
    </xf>
    <xf numFmtId="0" fontId="8" fillId="5" borderId="15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center" vertical="top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8" fillId="6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Border="1" applyAlignment="1" applyProtection="1">
      <alignment horizontal="left"/>
      <protection hidden="1"/>
    </xf>
    <xf numFmtId="0" fontId="4" fillId="3" borderId="1" xfId="0" applyFont="1" applyFill="1" applyBorder="1" applyAlignment="1" applyProtection="1">
      <alignment horizontal="right" vertical="top"/>
      <protection hidden="1"/>
    </xf>
    <xf numFmtId="10" fontId="4" fillId="3" borderId="3" xfId="0" applyNumberFormat="1" applyFont="1" applyFill="1" applyBorder="1" applyAlignment="1" applyProtection="1">
      <protection hidden="1"/>
    </xf>
    <xf numFmtId="10" fontId="4" fillId="3" borderId="3" xfId="1" applyNumberFormat="1" applyFont="1" applyFill="1" applyBorder="1" applyAlignment="1" applyProtection="1">
      <alignment vertical="top"/>
      <protection hidden="1"/>
    </xf>
    <xf numFmtId="0" fontId="10" fillId="2" borderId="11" xfId="0" applyFont="1" applyFill="1" applyBorder="1" applyAlignment="1" applyProtection="1">
      <alignment vertical="top"/>
      <protection hidden="1"/>
    </xf>
    <xf numFmtId="0" fontId="4" fillId="2" borderId="8" xfId="0" applyFont="1" applyFill="1" applyBorder="1" applyAlignment="1" applyProtection="1">
      <protection hidden="1"/>
    </xf>
    <xf numFmtId="164" fontId="2" fillId="6" borderId="0" xfId="0" applyNumberFormat="1" applyFont="1" applyFill="1" applyBorder="1" applyProtection="1">
      <protection hidden="1"/>
    </xf>
    <xf numFmtId="165" fontId="2" fillId="6" borderId="0" xfId="0" applyNumberFormat="1" applyFont="1" applyFill="1" applyBorder="1" applyProtection="1">
      <protection hidden="1"/>
    </xf>
    <xf numFmtId="2" fontId="2" fillId="6" borderId="0" xfId="0" applyNumberFormat="1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2" fontId="0" fillId="6" borderId="0" xfId="0" applyNumberForma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164" fontId="1" fillId="6" borderId="0" xfId="0" applyNumberFormat="1" applyFont="1" applyFill="1" applyBorder="1" applyProtection="1">
      <protection hidden="1"/>
    </xf>
    <xf numFmtId="3" fontId="2" fillId="6" borderId="0" xfId="0" applyNumberFormat="1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right"/>
      <protection hidden="1"/>
    </xf>
    <xf numFmtId="166" fontId="4" fillId="3" borderId="1" xfId="0" applyNumberFormat="1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3" fontId="0" fillId="6" borderId="0" xfId="0" applyNumberFormat="1" applyFill="1" applyBorder="1" applyProtection="1">
      <protection locked="0" hidden="1"/>
    </xf>
    <xf numFmtId="0" fontId="2" fillId="6" borderId="0" xfId="0" applyFont="1" applyFill="1" applyBorder="1" applyAlignment="1" applyProtection="1">
      <alignment horizontal="right"/>
      <protection hidden="1"/>
    </xf>
    <xf numFmtId="3" fontId="0" fillId="6" borderId="0" xfId="0" applyNumberFormat="1" applyFont="1" applyFill="1" applyBorder="1" applyProtection="1">
      <protection locked="0" hidden="1"/>
    </xf>
    <xf numFmtId="165" fontId="0" fillId="6" borderId="0" xfId="0" applyNumberFormat="1" applyFont="1" applyFill="1" applyBorder="1" applyProtection="1">
      <protection locked="0" hidden="1"/>
    </xf>
    <xf numFmtId="3" fontId="4" fillId="6" borderId="0" xfId="0" applyNumberFormat="1" applyFont="1" applyFill="1" applyBorder="1" applyProtection="1">
      <protection hidden="1"/>
    </xf>
    <xf numFmtId="0" fontId="4" fillId="6" borderId="0" xfId="0" applyFont="1" applyFill="1" applyBorder="1" applyProtection="1">
      <protection hidden="1"/>
    </xf>
    <xf numFmtId="0" fontId="1" fillId="6" borderId="0" xfId="0" applyFont="1" applyFill="1" applyBorder="1" applyAlignment="1" applyProtection="1">
      <alignment horizontal="right" vertical="top"/>
      <protection hidden="1"/>
    </xf>
    <xf numFmtId="166" fontId="0" fillId="6" borderId="0" xfId="0" applyNumberFormat="1" applyFont="1" applyFill="1" applyBorder="1" applyAlignment="1" applyProtection="1">
      <alignment vertical="center"/>
      <protection locked="0" hidden="1"/>
    </xf>
    <xf numFmtId="165" fontId="0" fillId="6" borderId="0" xfId="0" applyNumberFormat="1" applyFont="1" applyFill="1" applyBorder="1" applyAlignment="1" applyProtection="1">
      <alignment vertical="top"/>
      <protection locked="0" hidden="1"/>
    </xf>
    <xf numFmtId="0" fontId="2" fillId="6" borderId="0" xfId="0" applyFont="1" applyFill="1" applyBorder="1" applyAlignment="1" applyProtection="1">
      <alignment vertical="top"/>
      <protection hidden="1"/>
    </xf>
    <xf numFmtId="166" fontId="4" fillId="6" borderId="0" xfId="0" applyNumberFormat="1" applyFont="1" applyFill="1" applyBorder="1" applyProtection="1">
      <protection hidden="1"/>
    </xf>
    <xf numFmtId="166" fontId="0" fillId="6" borderId="0" xfId="0" applyNumberFormat="1" applyFont="1" applyFill="1" applyBorder="1" applyProtection="1">
      <protection locked="0" hidden="1"/>
    </xf>
    <xf numFmtId="165" fontId="0" fillId="6" borderId="0" xfId="0" applyNumberFormat="1" applyFont="1" applyFill="1" applyBorder="1" applyAlignment="1" applyProtection="1">
      <alignment vertical="center"/>
      <protection locked="0" hidden="1"/>
    </xf>
    <xf numFmtId="1" fontId="0" fillId="6" borderId="0" xfId="0" applyNumberFormat="1" applyFont="1" applyFill="1" applyBorder="1" applyProtection="1">
      <protection locked="0" hidden="1"/>
    </xf>
    <xf numFmtId="166" fontId="9" fillId="6" borderId="0" xfId="0" applyNumberFormat="1" applyFont="1" applyFill="1" applyProtection="1"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438151</xdr:colOff>
      <xdr:row>25</xdr:row>
      <xdr:rowOff>19050</xdr:rowOff>
    </xdr:from>
    <xdr:to>
      <xdr:col>8</xdr:col>
      <xdr:colOff>1</xdr:colOff>
      <xdr:row>32</xdr:row>
      <xdr:rowOff>133350</xdr:rowOff>
    </xdr:to>
    <xdr:sp macro="" textlink="">
      <xdr:nvSpPr>
        <xdr:cNvPr id="2" name="Textfeld 1"/>
        <xdr:cNvSpPr txBox="1"/>
      </xdr:nvSpPr>
      <xdr:spPr>
        <a:xfrm>
          <a:off x="4714876" y="5257800"/>
          <a:ext cx="3486150" cy="15335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Barometrische Höhenformel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Da der Ort der Gasmengenmessungen selten auf Meeres-höhe  liegt, kann  mit 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der  barometrischen  Höhenformel  durch   Höhenangabe  des  Messortes  der 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ortsbezogene Luftdruck näherungsweise berechnet werden.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In dem Feld  "Luftdruck auf Meereshöhe"  trägt man dazu den  Luftdruck aus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einer  Wetterkarte ein. Da auf Wetter-karten meisten nicht der  tatsächliche 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Luftdruck, sondern der  Luftdruck  bezogen auf Meereshöhe  angezeigt  wird,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sollte der Luftdruck von Hamburg, Kiel oder Bremen übernommen  werden,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statt den des eigenen  Standortes. Der auf die eingegebene Höhenangabe be-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rechnete Luftdruck kann dann für weitere Berechnungen herangezogen, bzw.</a:t>
          </a:r>
        </a:p>
        <a:p>
          <a:r>
            <a:rPr lang="de-DE" sz="800">
              <a:solidFill>
                <a:schemeClr val="dk1"/>
              </a:solidFill>
              <a:latin typeface="+mn-lt"/>
              <a:ea typeface="+mn-ea"/>
              <a:cs typeface="+mn-cs"/>
            </a:rPr>
            <a:t>in die entsprechenden Felder eingetragen werden.</a:t>
          </a:r>
          <a:endParaRPr lang="de-DE" sz="800"/>
        </a:p>
      </xdr:txBody>
    </xdr:sp>
    <xdr:clientData/>
  </xdr:twoCellAnchor>
  <xdr:twoCellAnchor editAs="oneCell">
    <xdr:from>
      <xdr:col>4</xdr:col>
      <xdr:colOff>171450</xdr:colOff>
      <xdr:row>39</xdr:row>
      <xdr:rowOff>0</xdr:rowOff>
    </xdr:from>
    <xdr:to>
      <xdr:col>4</xdr:col>
      <xdr:colOff>752475</xdr:colOff>
      <xdr:row>41</xdr:row>
      <xdr:rowOff>188000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48175" y="7696200"/>
          <a:ext cx="581025" cy="588050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39</xdr:row>
      <xdr:rowOff>129625</xdr:rowOff>
    </xdr:from>
    <xdr:to>
      <xdr:col>8</xdr:col>
      <xdr:colOff>123825</xdr:colOff>
      <xdr:row>41</xdr:row>
      <xdr:rowOff>135545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10150" y="7825825"/>
          <a:ext cx="3314700" cy="40597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38101</xdr:colOff>
      <xdr:row>35</xdr:row>
      <xdr:rowOff>133351</xdr:rowOff>
    </xdr:from>
    <xdr:to>
      <xdr:col>5</xdr:col>
      <xdr:colOff>609601</xdr:colOff>
      <xdr:row>36</xdr:row>
      <xdr:rowOff>133280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76826" y="7048501"/>
          <a:ext cx="571500" cy="199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showGridLines="0" showRowColHeaders="0" tabSelected="1" workbookViewId="0">
      <selection activeCell="G3" sqref="G3"/>
    </sheetView>
  </sheetViews>
  <sheetFormatPr baseColWidth="10" defaultRowHeight="15"/>
  <cols>
    <col min="1" max="1" width="4.7109375" style="1" customWidth="1"/>
    <col min="2" max="2" width="35.85546875" style="1" customWidth="1"/>
    <col min="3" max="3" width="8.7109375" style="1" customWidth="1"/>
    <col min="4" max="4" width="14.85546875" style="1" customWidth="1"/>
    <col min="5" max="5" width="11.42578125" style="1"/>
    <col min="6" max="6" width="27.28515625" style="1" customWidth="1"/>
    <col min="7" max="7" width="8.7109375" style="1" customWidth="1"/>
    <col min="8" max="10" width="11.42578125" style="1"/>
    <col min="11" max="11" width="12.7109375" style="1" bestFit="1" customWidth="1"/>
    <col min="12" max="16384" width="11.42578125" style="1"/>
  </cols>
  <sheetData>
    <row r="1" spans="2:13" ht="15.75" thickBot="1"/>
    <row r="2" spans="2:13" ht="15.75" thickBot="1">
      <c r="B2" s="78" t="s">
        <v>18</v>
      </c>
      <c r="C2" s="79"/>
      <c r="D2" s="76"/>
      <c r="F2" s="69" t="s">
        <v>30</v>
      </c>
      <c r="G2" s="70"/>
      <c r="H2" s="71"/>
    </row>
    <row r="3" spans="2:13" ht="16.5" customHeight="1">
      <c r="B3" s="2" t="s">
        <v>57</v>
      </c>
      <c r="C3" s="3">
        <v>101325</v>
      </c>
      <c r="D3" s="4" t="s">
        <v>1</v>
      </c>
      <c r="F3" s="2" t="s">
        <v>64</v>
      </c>
      <c r="G3" s="5">
        <v>12.119</v>
      </c>
      <c r="H3" s="4" t="s">
        <v>27</v>
      </c>
      <c r="K3" s="6"/>
    </row>
    <row r="4" spans="2:13">
      <c r="B4" s="7" t="s">
        <v>47</v>
      </c>
      <c r="C4" s="8">
        <v>6.4999999999999997E-3</v>
      </c>
      <c r="D4" s="9" t="s">
        <v>0</v>
      </c>
      <c r="F4" s="10" t="s">
        <v>24</v>
      </c>
      <c r="G4" s="11">
        <v>20.413</v>
      </c>
      <c r="H4" s="4" t="s">
        <v>26</v>
      </c>
    </row>
    <row r="5" spans="2:13" ht="18">
      <c r="B5" s="7" t="s">
        <v>48</v>
      </c>
      <c r="C5" s="12">
        <v>15</v>
      </c>
      <c r="D5" s="9" t="s">
        <v>2</v>
      </c>
      <c r="F5" s="10" t="s">
        <v>63</v>
      </c>
      <c r="G5" s="11">
        <v>24</v>
      </c>
      <c r="H5" s="4"/>
    </row>
    <row r="6" spans="2:13" ht="16.5" customHeight="1">
      <c r="B6" s="7" t="s">
        <v>49</v>
      </c>
      <c r="C6" s="14">
        <v>273.14999999999998</v>
      </c>
      <c r="D6" s="9" t="s">
        <v>5</v>
      </c>
      <c r="F6" s="10" t="s">
        <v>23</v>
      </c>
      <c r="G6" s="13">
        <v>13.61</v>
      </c>
      <c r="H6" s="4" t="s">
        <v>8</v>
      </c>
    </row>
    <row r="7" spans="2:13" ht="16.5" customHeight="1">
      <c r="B7" s="10" t="s">
        <v>6</v>
      </c>
      <c r="C7" s="16">
        <v>100</v>
      </c>
      <c r="D7" s="4" t="s">
        <v>3</v>
      </c>
      <c r="F7" s="10" t="s">
        <v>25</v>
      </c>
      <c r="G7" s="11">
        <v>600</v>
      </c>
      <c r="H7" s="4" t="s">
        <v>28</v>
      </c>
      <c r="K7" s="15"/>
    </row>
    <row r="8" spans="2:13" ht="16.5" customHeight="1" thickBot="1">
      <c r="B8" s="19" t="s">
        <v>7</v>
      </c>
      <c r="C8" s="20">
        <v>20</v>
      </c>
      <c r="D8" s="4" t="s">
        <v>2</v>
      </c>
      <c r="F8" s="17" t="s">
        <v>42</v>
      </c>
      <c r="G8" s="18">
        <v>24.5</v>
      </c>
      <c r="H8" s="4" t="s">
        <v>2</v>
      </c>
    </row>
    <row r="9" spans="2:13" ht="16.5" customHeight="1" thickBot="1">
      <c r="B9" s="23" t="s">
        <v>15</v>
      </c>
      <c r="C9" s="24">
        <f>((1-((C4*C7)/(C6+C8-C5)))^5.255)*C3</f>
        <v>100086.87481450955</v>
      </c>
      <c r="D9" s="25" t="s">
        <v>1</v>
      </c>
      <c r="F9" s="21" t="s">
        <v>31</v>
      </c>
      <c r="G9" s="22">
        <v>99</v>
      </c>
      <c r="H9" s="4" t="s">
        <v>32</v>
      </c>
    </row>
    <row r="10" spans="2:13" ht="16.5" customHeight="1" thickBot="1">
      <c r="B10" s="28" t="s">
        <v>4</v>
      </c>
      <c r="C10" s="29">
        <f>((1-((C4*C7)/(C6)))^5.255)*C3</f>
        <v>100064.32570469771</v>
      </c>
      <c r="D10" s="30" t="s">
        <v>1</v>
      </c>
      <c r="F10" s="26" t="s">
        <v>43</v>
      </c>
      <c r="G10" s="27">
        <v>101000</v>
      </c>
      <c r="H10" s="4" t="s">
        <v>1</v>
      </c>
    </row>
    <row r="11" spans="2:13" ht="16.5" customHeight="1" thickBot="1">
      <c r="B11" s="32"/>
      <c r="C11" s="33"/>
      <c r="F11" s="7" t="s">
        <v>52</v>
      </c>
      <c r="G11" s="31">
        <f>IF(G10="","",G6/G10*G12)</f>
        <v>0.41013649099924571</v>
      </c>
      <c r="H11" s="9" t="s">
        <v>8</v>
      </c>
    </row>
    <row r="12" spans="2:13" ht="16.5" customHeight="1" thickBot="1">
      <c r="B12" s="78" t="s">
        <v>16</v>
      </c>
      <c r="C12" s="79"/>
      <c r="D12" s="76"/>
      <c r="F12" s="7" t="s">
        <v>53</v>
      </c>
      <c r="G12" s="34">
        <f>IF(G10="","",IF(G8=0,G9*6.1078*10^((7.5)/(237.3+G8)),G9*6.1078*10^((7.5*G8)/(237.3+G8))))</f>
        <v>3043.6286253434109</v>
      </c>
      <c r="H12" s="9" t="s">
        <v>1</v>
      </c>
    </row>
    <row r="13" spans="2:13" ht="16.5" customHeight="1">
      <c r="B13" s="35" t="s">
        <v>10</v>
      </c>
      <c r="C13" s="36">
        <v>13.61</v>
      </c>
      <c r="D13" s="4" t="s">
        <v>8</v>
      </c>
      <c r="F13" s="7" t="s">
        <v>54</v>
      </c>
      <c r="G13" s="31">
        <f>IF(G10="","",G6/G10*G14)</f>
        <v>13.199863509000753</v>
      </c>
      <c r="H13" s="9" t="s">
        <v>8</v>
      </c>
      <c r="K13" s="100"/>
      <c r="L13" s="100"/>
      <c r="M13" s="100"/>
    </row>
    <row r="14" spans="2:13" ht="16.5" customHeight="1" thickBot="1">
      <c r="B14" s="26" t="s">
        <v>11</v>
      </c>
      <c r="C14" s="37">
        <v>24.5</v>
      </c>
      <c r="D14" s="4" t="s">
        <v>2</v>
      </c>
      <c r="F14" s="7" t="s">
        <v>55</v>
      </c>
      <c r="G14" s="34">
        <f>IF(G10="","",G10-G12)</f>
        <v>97956.371374656592</v>
      </c>
      <c r="H14" s="9" t="s">
        <v>1</v>
      </c>
      <c r="K14" s="63"/>
      <c r="L14" s="101"/>
      <c r="M14" s="57"/>
    </row>
    <row r="15" spans="2:13" ht="16.5" customHeight="1" thickBot="1">
      <c r="B15" s="7" t="s">
        <v>50</v>
      </c>
      <c r="C15" s="40">
        <v>273.14999999999998</v>
      </c>
      <c r="D15" s="41" t="s">
        <v>39</v>
      </c>
      <c r="F15" s="38" t="s">
        <v>62</v>
      </c>
      <c r="G15" s="39">
        <f>IF(G10="","",(((G10-G12)/100000)*G6/(273.15+G8)/0.08314472)*22.413996)</f>
        <v>12.074510746071494</v>
      </c>
      <c r="H15" s="25" t="s">
        <v>9</v>
      </c>
      <c r="I15" s="115">
        <f>G15*(2/3)</f>
        <v>8.0496738307143296</v>
      </c>
      <c r="J15" s="61" t="str">
        <f>FIXED(I15,3)</f>
        <v>8,050</v>
      </c>
      <c r="K15" s="102"/>
      <c r="L15" s="90"/>
      <c r="M15" s="95"/>
    </row>
    <row r="16" spans="2:13" ht="16.5" customHeight="1" thickBot="1">
      <c r="B16" s="23" t="s">
        <v>14</v>
      </c>
      <c r="C16" s="45">
        <f>IF(C13="","",C15*(C13/(C15+C14)))</f>
        <v>12.489741306904081</v>
      </c>
      <c r="D16" s="30" t="s">
        <v>9</v>
      </c>
      <c r="F16" s="42" t="s">
        <v>58</v>
      </c>
      <c r="G16" s="43">
        <f>IF(G10="","",((G3*G4*(G7/G15))/3600)*60)</f>
        <v>204.88212914174437</v>
      </c>
      <c r="H16" s="44" t="s">
        <v>65</v>
      </c>
      <c r="I16" s="61">
        <f>G15*(1/3)</f>
        <v>4.0248369153571648</v>
      </c>
      <c r="J16" s="61" t="str">
        <f>FIXED(I16,3)</f>
        <v>4,025</v>
      </c>
      <c r="K16" s="102"/>
      <c r="L16" s="91"/>
      <c r="M16" s="95"/>
    </row>
    <row r="17" spans="2:13" ht="16.5" customHeight="1" thickBot="1">
      <c r="B17" s="32"/>
      <c r="C17" s="49"/>
      <c r="F17" s="46" t="s">
        <v>56</v>
      </c>
      <c r="G17" s="47">
        <f>IF(G10="","",((G3*G4*(G7/G6))/3600)*60)</f>
        <v>181.76719103600291</v>
      </c>
      <c r="H17" s="48" t="s">
        <v>65</v>
      </c>
      <c r="J17" s="61">
        <f>G3/(G5/4)</f>
        <v>2.0198333333333331</v>
      </c>
      <c r="K17" s="102"/>
      <c r="L17" s="92"/>
      <c r="M17" s="95"/>
    </row>
    <row r="18" spans="2:13" ht="16.5" customHeight="1" thickBot="1">
      <c r="B18" s="78" t="s">
        <v>17</v>
      </c>
      <c r="C18" s="79"/>
      <c r="D18" s="76"/>
      <c r="F18" s="23" t="s">
        <v>46</v>
      </c>
      <c r="G18" s="50">
        <f>IF(G10="","",(G3*G4*(G7/(G15/3*2))/3600))</f>
        <v>5.1220532285436091</v>
      </c>
      <c r="H18" s="25" t="s">
        <v>29</v>
      </c>
      <c r="J18" s="61">
        <f>ROUND(J17,2)</f>
        <v>2.02</v>
      </c>
      <c r="K18" s="63"/>
      <c r="L18" s="103"/>
      <c r="M18" s="57"/>
    </row>
    <row r="19" spans="2:13" ht="18.75" thickBot="1">
      <c r="B19" s="2" t="s">
        <v>12</v>
      </c>
      <c r="C19" s="53">
        <v>12.49</v>
      </c>
      <c r="D19" s="4" t="s">
        <v>9</v>
      </c>
      <c r="F19" s="23" t="s">
        <v>58</v>
      </c>
      <c r="G19" s="51">
        <f>IF(G10="","",(G3*G4*(G7/G15)/3600))</f>
        <v>3.4147021523624064</v>
      </c>
      <c r="H19" s="25" t="s">
        <v>29</v>
      </c>
      <c r="J19" s="52"/>
      <c r="K19" s="63"/>
      <c r="L19" s="104"/>
      <c r="M19" s="57"/>
    </row>
    <row r="20" spans="2:13" ht="16.5" customHeight="1" thickBot="1">
      <c r="B20" s="10" t="s">
        <v>11</v>
      </c>
      <c r="C20" s="54">
        <v>24.5</v>
      </c>
      <c r="D20" s="4" t="s">
        <v>2</v>
      </c>
      <c r="F20" s="23" t="s">
        <v>60</v>
      </c>
      <c r="G20" s="86">
        <f>141860/((G3*G4*G7/1000)/(0.0899*(I15/1000)))</f>
        <v>0.69162878368831904</v>
      </c>
      <c r="H20" s="89"/>
      <c r="K20" s="93"/>
      <c r="L20" s="105"/>
      <c r="M20" s="106"/>
    </row>
    <row r="21" spans="2:13" ht="18.75" thickBot="1">
      <c r="B21" s="7" t="s">
        <v>50</v>
      </c>
      <c r="C21" s="40">
        <v>273.14999999999998</v>
      </c>
      <c r="D21" s="41" t="s">
        <v>39</v>
      </c>
      <c r="F21" s="85" t="s">
        <v>61</v>
      </c>
      <c r="G21" s="87">
        <f>I15/(((G4*G7*8.314*273.15)/(2*96485*101325))*G5*1000)</f>
        <v>0.23577846712401998</v>
      </c>
      <c r="H21" s="88"/>
      <c r="K21" s="93"/>
      <c r="L21" s="105"/>
      <c r="M21" s="106"/>
    </row>
    <row r="22" spans="2:13" ht="16.5" customHeight="1" thickBot="1">
      <c r="B22" s="23" t="s">
        <v>13</v>
      </c>
      <c r="C22" s="45">
        <f>IF(C19="","",(C20+C21)*(C19/C21))</f>
        <v>13.610281896393923</v>
      </c>
      <c r="D22" s="30" t="s">
        <v>8</v>
      </c>
      <c r="F22" s="84" t="s">
        <v>44</v>
      </c>
      <c r="G22" s="84"/>
      <c r="H22" s="84"/>
      <c r="K22" s="93"/>
      <c r="L22" s="94"/>
      <c r="M22" s="55"/>
    </row>
    <row r="23" spans="2:13" ht="15.75" thickBot="1">
      <c r="F23" s="77" t="s">
        <v>45</v>
      </c>
      <c r="G23" s="77"/>
      <c r="H23" s="77"/>
      <c r="K23" s="100"/>
      <c r="L23" s="100"/>
      <c r="M23" s="100"/>
    </row>
    <row r="24" spans="2:13" ht="15.75" thickBot="1">
      <c r="B24" s="78" t="s">
        <v>19</v>
      </c>
      <c r="C24" s="79"/>
      <c r="D24" s="76"/>
      <c r="F24" s="77" t="str">
        <f>CONCATENATE("* Spannung je Kammer: ",J18," V")</f>
        <v>* Spannung je Kammer: 2,02 V</v>
      </c>
      <c r="G24" s="77"/>
      <c r="H24" s="77"/>
      <c r="K24" s="107"/>
      <c r="L24" s="108"/>
      <c r="M24" s="57"/>
    </row>
    <row r="25" spans="2:13">
      <c r="B25" s="35" t="s">
        <v>40</v>
      </c>
      <c r="C25" s="53">
        <v>13.61</v>
      </c>
      <c r="D25" s="4" t="s">
        <v>8</v>
      </c>
      <c r="F25" s="77" t="str">
        <f>CONCATENATE("** Wasserstoff: ",J15," Normliter, und: ",J16," Normliter Sauerstoff")</f>
        <v>** Wasserstoff: 8,050 Normliter, und: 4,025 Normliter Sauerstoff</v>
      </c>
      <c r="G25" s="77"/>
      <c r="H25" s="77"/>
      <c r="K25" s="107"/>
      <c r="L25" s="109"/>
      <c r="M25" s="57"/>
    </row>
    <row r="26" spans="2:13">
      <c r="B26" s="26" t="s">
        <v>41</v>
      </c>
      <c r="C26" s="16">
        <v>101000</v>
      </c>
      <c r="D26" s="4" t="s">
        <v>1</v>
      </c>
      <c r="F26" s="80"/>
      <c r="G26" s="80"/>
      <c r="H26" s="80"/>
      <c r="K26" s="102"/>
      <c r="L26" s="95"/>
      <c r="M26" s="110"/>
    </row>
    <row r="27" spans="2:13" ht="18.75" thickBot="1">
      <c r="B27" s="7" t="s">
        <v>51</v>
      </c>
      <c r="C27" s="34">
        <v>101325</v>
      </c>
      <c r="D27" s="9" t="s">
        <v>1</v>
      </c>
      <c r="K27" s="93"/>
      <c r="L27" s="111"/>
      <c r="M27" s="106"/>
    </row>
    <row r="28" spans="2:13" ht="16.5" customHeight="1" thickBot="1">
      <c r="B28" s="38" t="s">
        <v>20</v>
      </c>
      <c r="C28" s="45">
        <f>IF(C26="","",C26*(C25/C27))</f>
        <v>13.566345916604984</v>
      </c>
      <c r="D28" s="30" t="s">
        <v>8</v>
      </c>
      <c r="K28" s="93"/>
      <c r="L28" s="96"/>
      <c r="M28" s="55"/>
    </row>
    <row r="29" spans="2:13" ht="15.75" thickBot="1">
      <c r="K29" s="100"/>
      <c r="L29" s="100"/>
      <c r="M29" s="100"/>
    </row>
    <row r="30" spans="2:13" ht="15.75" thickBot="1">
      <c r="B30" s="78" t="s">
        <v>21</v>
      </c>
      <c r="C30" s="79"/>
      <c r="D30" s="76"/>
      <c r="K30" s="63"/>
      <c r="L30" s="112"/>
      <c r="M30" s="57"/>
    </row>
    <row r="31" spans="2:13">
      <c r="B31" s="2" t="s">
        <v>40</v>
      </c>
      <c r="C31" s="53">
        <v>13.566000000000001</v>
      </c>
      <c r="D31" s="4" t="s">
        <v>8</v>
      </c>
      <c r="F31" s="73"/>
      <c r="G31" s="73"/>
      <c r="H31" s="73"/>
      <c r="I31" s="55"/>
      <c r="K31" s="63"/>
      <c r="L31" s="113"/>
      <c r="M31" s="57"/>
    </row>
    <row r="32" spans="2:13">
      <c r="B32" s="10" t="s">
        <v>41</v>
      </c>
      <c r="C32" s="16">
        <v>101000</v>
      </c>
      <c r="D32" s="4" t="s">
        <v>1</v>
      </c>
      <c r="F32" s="72"/>
      <c r="G32" s="72"/>
      <c r="H32" s="72"/>
      <c r="I32" s="55"/>
      <c r="K32" s="102"/>
      <c r="L32" s="95"/>
      <c r="M32" s="110"/>
    </row>
    <row r="33" spans="2:13" ht="18.75" thickBot="1">
      <c r="B33" s="7" t="s">
        <v>51</v>
      </c>
      <c r="C33" s="34">
        <v>101325</v>
      </c>
      <c r="D33" s="9" t="s">
        <v>1</v>
      </c>
      <c r="F33" s="56"/>
      <c r="G33" s="57"/>
      <c r="H33" s="55"/>
      <c r="I33" s="55"/>
      <c r="K33" s="93"/>
      <c r="L33" s="111"/>
      <c r="M33" s="106"/>
    </row>
    <row r="34" spans="2:13" ht="16.5" customHeight="1" thickBot="1">
      <c r="B34" s="23" t="s">
        <v>22</v>
      </c>
      <c r="C34" s="45">
        <f>IF(C32="","",C33*(C31/C32))</f>
        <v>13.609652970297029</v>
      </c>
      <c r="D34" s="30" t="s">
        <v>8</v>
      </c>
      <c r="F34" s="56"/>
      <c r="G34" s="57"/>
      <c r="H34" s="55"/>
      <c r="I34" s="55"/>
      <c r="K34" s="55"/>
      <c r="L34" s="55"/>
      <c r="M34" s="55"/>
    </row>
    <row r="35" spans="2:13" ht="15.75" thickBot="1">
      <c r="F35" s="56"/>
      <c r="G35" s="58"/>
      <c r="H35" s="55"/>
      <c r="I35" s="55"/>
      <c r="K35" s="100"/>
      <c r="L35" s="100"/>
      <c r="M35" s="100"/>
    </row>
    <row r="36" spans="2:13" ht="15.75" thickBot="1">
      <c r="B36" s="74" t="s">
        <v>33</v>
      </c>
      <c r="C36" s="75"/>
      <c r="D36" s="76"/>
      <c r="F36" s="56"/>
      <c r="G36" s="55"/>
      <c r="H36" s="55"/>
      <c r="I36" s="55"/>
      <c r="K36" s="107"/>
      <c r="L36" s="112"/>
      <c r="M36" s="57"/>
    </row>
    <row r="37" spans="2:13">
      <c r="B37" s="10" t="s">
        <v>34</v>
      </c>
      <c r="C37" s="59">
        <v>13.61</v>
      </c>
      <c r="D37" s="4" t="s">
        <v>8</v>
      </c>
      <c r="F37" s="81" t="s">
        <v>59</v>
      </c>
      <c r="G37" s="82"/>
      <c r="H37" s="82"/>
      <c r="I37" s="55"/>
      <c r="K37" s="107"/>
      <c r="L37" s="103"/>
      <c r="M37" s="57"/>
    </row>
    <row r="38" spans="2:13">
      <c r="B38" s="10" t="s">
        <v>35</v>
      </c>
      <c r="C38" s="60">
        <v>24.5</v>
      </c>
      <c r="D38" s="4" t="s">
        <v>2</v>
      </c>
      <c r="F38" s="82"/>
      <c r="G38" s="82"/>
      <c r="H38" s="82"/>
      <c r="I38" s="55"/>
      <c r="K38" s="102"/>
      <c r="L38" s="97"/>
      <c r="M38" s="95"/>
    </row>
    <row r="39" spans="2:13">
      <c r="B39" s="10" t="s">
        <v>36</v>
      </c>
      <c r="C39" s="16">
        <v>101000</v>
      </c>
      <c r="D39" s="4" t="s">
        <v>1</v>
      </c>
      <c r="F39" s="82"/>
      <c r="G39" s="82"/>
      <c r="H39" s="82"/>
      <c r="I39" s="55"/>
      <c r="K39" s="93"/>
      <c r="L39" s="111"/>
      <c r="M39" s="106"/>
    </row>
    <row r="40" spans="2:13" ht="15.75" thickBot="1">
      <c r="B40" s="19" t="s">
        <v>37</v>
      </c>
      <c r="C40" s="62">
        <v>99</v>
      </c>
      <c r="D40" s="4" t="s">
        <v>32</v>
      </c>
      <c r="E40" s="61">
        <f>IF(C39=0,C41*6.1078*10^((7.5)/(237.3+C39)),C41*6.1078*10^((7.5*C39)/(237.3+C39)))</f>
        <v>2239620154.6818633</v>
      </c>
      <c r="F40" s="83"/>
      <c r="G40" s="83"/>
      <c r="H40" s="83"/>
      <c r="I40" s="55"/>
      <c r="K40" s="55"/>
      <c r="L40" s="55"/>
      <c r="M40" s="55"/>
    </row>
    <row r="41" spans="2:13" ht="15.75" thickBot="1">
      <c r="B41" s="23" t="s">
        <v>38</v>
      </c>
      <c r="C41" s="45">
        <f>IF(C39="","",IF(C38=0,(((C39-(C40*6.1078*10^((7.5*1)/(237.3+C38))))/100000)*C37/(273.15+C38)/0.08314472)*22.413996,(((C39-(C40*6.1078*10^((7.5*C38)/(237.3+C38))))/100000)*C37/(273.15+C38)/0.08314472)*22.413996))</f>
        <v>12.074510746071494</v>
      </c>
      <c r="D41" s="30" t="s">
        <v>8</v>
      </c>
      <c r="F41" s="63"/>
      <c r="G41" s="64"/>
      <c r="H41" s="57"/>
      <c r="I41" s="55"/>
      <c r="K41" s="100"/>
      <c r="L41" s="100"/>
      <c r="M41" s="100"/>
    </row>
    <row r="42" spans="2:13" ht="15.75" thickBot="1">
      <c r="B42" s="23"/>
      <c r="C42" s="45"/>
      <c r="D42" s="30"/>
      <c r="F42" s="65"/>
      <c r="G42" s="66"/>
      <c r="H42" s="67"/>
      <c r="I42" s="55"/>
      <c r="K42" s="63"/>
      <c r="L42" s="112"/>
      <c r="M42" s="57"/>
    </row>
    <row r="43" spans="2:13">
      <c r="F43" s="63"/>
      <c r="G43" s="68"/>
      <c r="H43" s="57"/>
      <c r="I43" s="55"/>
      <c r="K43" s="63"/>
      <c r="L43" s="103"/>
      <c r="M43" s="57"/>
    </row>
    <row r="44" spans="2:13">
      <c r="K44" s="102"/>
      <c r="L44" s="97"/>
      <c r="M44" s="95"/>
    </row>
    <row r="45" spans="2:13">
      <c r="K45" s="93"/>
      <c r="L45" s="111"/>
      <c r="M45" s="106"/>
    </row>
    <row r="46" spans="2:13">
      <c r="K46" s="55"/>
      <c r="L46" s="55"/>
      <c r="M46" s="55"/>
    </row>
    <row r="47" spans="2:13">
      <c r="K47" s="100"/>
      <c r="L47" s="100"/>
      <c r="M47" s="100"/>
    </row>
    <row r="48" spans="2:13">
      <c r="K48" s="63"/>
      <c r="L48" s="112"/>
      <c r="M48" s="57"/>
    </row>
    <row r="49" spans="11:13">
      <c r="K49" s="63"/>
      <c r="L49" s="104"/>
      <c r="M49" s="57"/>
    </row>
    <row r="50" spans="11:13">
      <c r="K50" s="63"/>
      <c r="L50" s="103"/>
      <c r="M50" s="57"/>
    </row>
    <row r="51" spans="11:13">
      <c r="K51" s="63"/>
      <c r="L51" s="114"/>
      <c r="M51" s="57"/>
    </row>
    <row r="52" spans="11:13" ht="15.75" thickBot="1">
      <c r="K52" s="98" t="s">
        <v>38</v>
      </c>
      <c r="L52" s="99" t="str">
        <f>IF(L50="","",IF(L49=0,(((L50-(L51*6.1078*10^((7.5*1)/(237.3+L49))))/100000)*L48/(273.15+L49)/0.08314472)*22.413996,(((L50-(L51*6.1078*10^((7.5*L49)/(237.3+L49))))/100000)*L48/(273.15+L49)/0.08314472)*22.413996))</f>
        <v/>
      </c>
      <c r="M52" s="30" t="s">
        <v>8</v>
      </c>
    </row>
  </sheetData>
  <sheetProtection password="ED17" sheet="1" objects="1" scenarios="1"/>
  <mergeCells count="21">
    <mergeCell ref="K47:M47"/>
    <mergeCell ref="B12:D12"/>
    <mergeCell ref="B18:D18"/>
    <mergeCell ref="B24:D24"/>
    <mergeCell ref="B30:D30"/>
    <mergeCell ref="B36:D36"/>
    <mergeCell ref="F22:H22"/>
    <mergeCell ref="F23:H23"/>
    <mergeCell ref="K13:M13"/>
    <mergeCell ref="K23:M23"/>
    <mergeCell ref="K29:M29"/>
    <mergeCell ref="K35:M35"/>
    <mergeCell ref="K41:M41"/>
    <mergeCell ref="F2:H2"/>
    <mergeCell ref="F32:H32"/>
    <mergeCell ref="F31:H31"/>
    <mergeCell ref="B2:D2"/>
    <mergeCell ref="F37:H40"/>
    <mergeCell ref="F24:H24"/>
    <mergeCell ref="F25:H25"/>
    <mergeCell ref="F26:H26"/>
  </mergeCells>
  <dataValidations count="2">
    <dataValidation type="whole" errorStyle="information" allowBlank="1" showInputMessage="1" showErrorMessage="1" errorTitle="Überprüfen Sie ihre Eingabe" error="Höchster jemals gemessener Luftdruck ü. NN: 108.570Pa (Dezember 2001 bei Tosontsengel in der Mongolei)_x000a_Niedrigster jemals gemessener Luftsdruck ü. NN: 86.960Pa (Im Zentrum des Wirbelsturms &quot;Tip&quot; über dem Nordwestpazifik)" sqref="L14 C3">
      <formula1>86990</formula1>
      <formula2>108570</formula2>
    </dataValidation>
    <dataValidation type="whole" errorStyle="information" allowBlank="1" showInputMessage="1" showErrorMessage="1" errorTitle="Überprüfen Sie die Höhenangabe" error="Die berechneten Verhältnisse sind auf die Troposphäre beschränkt." sqref="L18 C7">
      <formula1>-50</formula1>
      <formula2>10000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Thorsten</cp:lastModifiedBy>
  <dcterms:created xsi:type="dcterms:W3CDTF">2014-09-03T10:47:28Z</dcterms:created>
  <dcterms:modified xsi:type="dcterms:W3CDTF">2015-08-01T10:53:49Z</dcterms:modified>
</cp:coreProperties>
</file>